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96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Y6" i="1" l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5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8" i="1"/>
  <c r="X7" i="1"/>
  <c r="X6" i="1"/>
  <c r="X5" i="1"/>
  <c r="R22" i="1" l="1"/>
  <c r="Q22" i="1"/>
  <c r="P22" i="1"/>
  <c r="O22" i="1"/>
  <c r="R21" i="1"/>
  <c r="Q21" i="1"/>
  <c r="P21" i="1"/>
  <c r="O21" i="1"/>
  <c r="R20" i="1"/>
  <c r="Q20" i="1"/>
  <c r="P20" i="1"/>
  <c r="O20" i="1"/>
  <c r="R19" i="1"/>
  <c r="Q19" i="1"/>
  <c r="P19" i="1"/>
  <c r="S19" i="1" s="1"/>
  <c r="O19" i="1"/>
  <c r="R18" i="1"/>
  <c r="Q18" i="1"/>
  <c r="P18" i="1"/>
  <c r="O18" i="1"/>
  <c r="R17" i="1"/>
  <c r="Q17" i="1"/>
  <c r="P17" i="1"/>
  <c r="S17" i="1" s="1"/>
  <c r="O17" i="1"/>
  <c r="R16" i="1"/>
  <c r="Q16" i="1"/>
  <c r="P16" i="1"/>
  <c r="O16" i="1"/>
  <c r="R15" i="1"/>
  <c r="Q15" i="1"/>
  <c r="P15" i="1"/>
  <c r="S15" i="1" s="1"/>
  <c r="O15" i="1"/>
  <c r="R14" i="1"/>
  <c r="Q14" i="1"/>
  <c r="P14" i="1"/>
  <c r="S14" i="1" s="1"/>
  <c r="O14" i="1"/>
  <c r="R12" i="1"/>
  <c r="Q12" i="1"/>
  <c r="P12" i="1"/>
  <c r="S12" i="1" s="1"/>
  <c r="O12" i="1"/>
  <c r="R11" i="1"/>
  <c r="Q11" i="1"/>
  <c r="P11" i="1"/>
  <c r="O11" i="1"/>
  <c r="R10" i="1"/>
  <c r="Q10" i="1"/>
  <c r="P10" i="1"/>
  <c r="O10" i="1"/>
  <c r="S10" i="1" s="1"/>
  <c r="R9" i="1"/>
  <c r="Q9" i="1"/>
  <c r="P9" i="1"/>
  <c r="O9" i="1"/>
  <c r="S9" i="1" s="1"/>
  <c r="R8" i="1"/>
  <c r="Q8" i="1"/>
  <c r="P8" i="1"/>
  <c r="O8" i="1"/>
  <c r="R7" i="1"/>
  <c r="Q7" i="1"/>
  <c r="P7" i="1"/>
  <c r="O7" i="1"/>
  <c r="R6" i="1"/>
  <c r="Q6" i="1"/>
  <c r="P6" i="1"/>
  <c r="O6" i="1"/>
  <c r="S6" i="1" s="1"/>
  <c r="S21" i="1"/>
  <c r="S16" i="1"/>
  <c r="S18" i="1"/>
  <c r="S20" i="1"/>
  <c r="S13" i="1"/>
  <c r="S11" i="1"/>
  <c r="S8" i="1"/>
  <c r="S5" i="1"/>
  <c r="A15" i="1"/>
  <c r="A16" i="1" s="1"/>
  <c r="A17" i="1" s="1"/>
  <c r="A18" i="1" s="1"/>
  <c r="A19" i="1" s="1"/>
  <c r="A20" i="1" s="1"/>
  <c r="A21" i="1" s="1"/>
  <c r="A7" i="1"/>
  <c r="A8" i="1" s="1"/>
  <c r="A9" i="1" s="1"/>
  <c r="A10" i="1" s="1"/>
  <c r="A11" i="1" s="1"/>
  <c r="A12" i="1" s="1"/>
  <c r="A13" i="1" s="1"/>
  <c r="S7" i="1" l="1"/>
  <c r="S23" i="1" s="1"/>
  <c r="S22" i="1"/>
</calcChain>
</file>

<file path=xl/sharedStrings.xml><?xml version="1.0" encoding="utf-8"?>
<sst xmlns="http://schemas.openxmlformats.org/spreadsheetml/2006/main" count="160" uniqueCount="136">
  <si>
    <t>№пп</t>
  </si>
  <si>
    <t>Найменування орендаря</t>
  </si>
  <si>
    <t>Юридична адреса  орендованого майна</t>
  </si>
  <si>
    <t>Код за ЄДРПОУ орендаря</t>
  </si>
  <si>
    <t>№ та дата реєстрації договору оренди</t>
  </si>
  <si>
    <t>Назва  власника (орендодавця майна комунальної власності)</t>
  </si>
  <si>
    <t>Код за ЄДРПОУ власника/орендодавця   майна комунальної власності</t>
  </si>
  <si>
    <t>Цільове призначенняоренди майна</t>
  </si>
  <si>
    <t>Строк дії договору</t>
  </si>
  <si>
    <t>№, дата рішення виконавчого комітету</t>
  </si>
  <si>
    <t>Площа , кв. м</t>
  </si>
  <si>
    <t>ставка орендної плати, %</t>
  </si>
  <si>
    <t>сума орендної плати, грн.</t>
  </si>
  <si>
    <t xml:space="preserve">Додаткові угоди </t>
  </si>
  <si>
    <t xml:space="preserve"> Планові показники сплати за договором оренди</t>
  </si>
  <si>
    <t xml:space="preserve"> Фактичні показники сплати за договором оренди</t>
  </si>
  <si>
    <t>ІУ кв 2019 р</t>
  </si>
  <si>
    <t>ТОВ «Аптека № 19» (підвал)</t>
  </si>
  <si>
    <t>вул. Терещенків, 28</t>
  </si>
  <si>
    <t>3 від 30.04.2009</t>
  </si>
  <si>
    <t>Виконавчий комітет Глухівської міської ради</t>
  </si>
  <si>
    <t>Складські приміщення</t>
  </si>
  <si>
    <t>01.05.09–31.03.11; 01.04.11-28.02.14; 01.03.14-31.01.17; 01.02.17-31.12.19</t>
  </si>
  <si>
    <t>№ 236  17.07.08</t>
  </si>
  <si>
    <t>ТВБВ №10018/073 філії Сумського обласного управління АТ «Ощадбанк»</t>
  </si>
  <si>
    <t>вул. Києво-Московська,36</t>
  </si>
  <si>
    <t>95 від 01.12.1995</t>
  </si>
  <si>
    <t xml:space="preserve"> розміщення ТВБВ №241/01 філії Глухівського відділення №241 ВАТ «Державний ощадний банк України»</t>
  </si>
  <si>
    <t>13.02.06-12.02.11; 25.11.2011</t>
  </si>
  <si>
    <t>№ 138  17.06.10</t>
  </si>
  <si>
    <t xml:space="preserve">30
15
5
</t>
  </si>
  <si>
    <t>15.11.07; 25.11.2011</t>
  </si>
  <si>
    <t>Глухівський громадський дельтапланерний клуб «Авіакомпанія»</t>
  </si>
  <si>
    <t>вул. Київський шлях, 62</t>
  </si>
  <si>
    <t>розміщення стартового командного пункту злітно-посадкового майданчику «Глухів»</t>
  </si>
  <si>
    <t>21.03.08-01.03.11; 01.03.11-31.01.14; 01.02.14-31.12.16; 01.01.17-31.12.19</t>
  </si>
  <si>
    <t>№ 102  20.03.08</t>
  </si>
  <si>
    <t>14.06.2014; 22.03.2018</t>
  </si>
  <si>
    <t>ПП Кугай В.О.</t>
  </si>
  <si>
    <t>вул. 40 років Перемоги, 70</t>
  </si>
  <si>
    <t>90 від 30.05.2005</t>
  </si>
  <si>
    <t>Оренда обладнання</t>
  </si>
  <si>
    <t>01.04.05–28.02.07; 01.12.09-31.10.10; 01.11.10-30.09.11; 01.09.11-31.07.12; 01.08.12-30.06.13; 01.07.13-31.05.14; 01.06.14-31.03.15; 01.04.15-31.02.16; 01.03.16-31.01.17;  01.02.17-31.12.17;  01.01.18-31.12.18; 01.01.19-31.12.19</t>
  </si>
  <si>
    <t>№ 100  25.03.05</t>
  </si>
  <si>
    <t xml:space="preserve"> </t>
  </si>
  <si>
    <t>ТОВ «Глухівжитлосервіс»</t>
  </si>
  <si>
    <t>вул. 70 років Жовтня, 3</t>
  </si>
  <si>
    <t>88 від 01.03.2004</t>
  </si>
  <si>
    <t xml:space="preserve"> під адміністративне  та побутові приміщення</t>
  </si>
  <si>
    <t>01.03.07–25.02.10; 26.02.10-31.01.13; 01.02.13 – 31.12.15; 01.01.16 - 30.12.18; 01.08.17-31.07.20</t>
  </si>
  <si>
    <t>№ 54   25.02.04</t>
  </si>
  <si>
    <t xml:space="preserve">ПП Захаров </t>
  </si>
  <si>
    <t>вул. Вокзальна, 6</t>
  </si>
  <si>
    <t>122 від 01.05.2008</t>
  </si>
  <si>
    <t>озміщення цеху по виготовленню виробів із деревини</t>
  </si>
  <si>
    <t>01.05.08-30.04.11; 30.04.11-31.03.14; 01.04.14-28.02.17; 01.03.17-01.02.20</t>
  </si>
  <si>
    <t>№ 65   28.02.08</t>
  </si>
  <si>
    <t xml:space="preserve">Глухівська районна організація українського товариства мисливців і рибалок   </t>
  </si>
  <si>
    <t>вул. Спаська, 20</t>
  </si>
  <si>
    <t>123 від 15.05.2008</t>
  </si>
  <si>
    <t>розміщення офісу організації</t>
  </si>
  <si>
    <t>15.05.08-01.05.11; 01.05.11-31.03.14; 01.04.14-28.02.17; 01.03.17-01.02.20</t>
  </si>
  <si>
    <t>№ 336   29.11.07</t>
  </si>
  <si>
    <t>ФОП Дещенко Наталія Василівна</t>
  </si>
  <si>
    <t>Ціолковського, 6</t>
  </si>
  <si>
    <t>127 від 01.08.2011</t>
  </si>
  <si>
    <t>ремонт швейних виробів</t>
  </si>
  <si>
    <t>01.08.11-30.06.14; 01.07.14-31.05.17; 01.01.16-30.11.18; 01.12.18-01.11.21</t>
  </si>
  <si>
    <t>№ 233  21.07.11</t>
  </si>
  <si>
    <t xml:space="preserve">Глухівський міськ-районний спортивно-технічний клуб Товариства сприяння обороні України </t>
  </si>
  <si>
    <t>118  від 10.06.2016</t>
  </si>
  <si>
    <t>Глухівського міськ-районного СТК ТСО України</t>
  </si>
  <si>
    <t>13.06.16-13.05.19; 14.05.19-14.04.22</t>
  </si>
  <si>
    <t>№124 10.06.16</t>
  </si>
  <si>
    <t xml:space="preserve">Шалигинська селищна рада </t>
  </si>
  <si>
    <t>вул.Києво-Московська,31</t>
  </si>
  <si>
    <t>149 від 01.12.2016</t>
  </si>
  <si>
    <t>під офіс  органу місцевого самоврядування</t>
  </si>
  <si>
    <t>01.12.16-31.12.17; 01.01.18-31.12.18; 01.01.19 -31.12.19</t>
  </si>
  <si>
    <t>№255 31.10.16</t>
  </si>
  <si>
    <t>Громадська організація «Спортивний клуб Ринг+Татамі»</t>
  </si>
  <si>
    <t>вул.Києво-Московська,36</t>
  </si>
  <si>
    <t>150 від 01.12.2016</t>
  </si>
  <si>
    <t xml:space="preserve">заклад фізичної культури і спорту </t>
  </si>
  <si>
    <t>01.12.16-01.11.19</t>
  </si>
  <si>
    <t>№278 24.11.16</t>
  </si>
  <si>
    <t>вул. Ціолковського, 6 (банкомат)</t>
  </si>
  <si>
    <t>1 від 01.02.2013</t>
  </si>
  <si>
    <t>розміщення банкомату</t>
  </si>
  <si>
    <t>01.02.13-01.01.15; 01.01.15-01.12.17; 01.12.17-01.11.20</t>
  </si>
  <si>
    <t>№238 06.09.2012</t>
  </si>
  <si>
    <t>ТОВ «Шляховик-97»</t>
  </si>
  <si>
    <t>вул.. Есманський шлях,70</t>
  </si>
  <si>
    <t>151 від 13.04.2017</t>
  </si>
  <si>
    <t xml:space="preserve"> розміщзення  мобільної асфальтозмішувальної установки,   та складування інертних матеріалів</t>
  </si>
  <si>
    <t>13.04.17-13.03.20</t>
  </si>
  <si>
    <t>№85 06.04.2017</t>
  </si>
  <si>
    <t>ПАТ «Укртелеком»</t>
  </si>
  <si>
    <t>вул. Пушкіна,62</t>
  </si>
  <si>
    <t>152 від 01.06.2017</t>
  </si>
  <si>
    <t>розміщення обладнання АТС ПСК-1000</t>
  </si>
  <si>
    <t>01.06.17-01.05.20</t>
  </si>
  <si>
    <t>ФОП Особливець Н.В.</t>
  </si>
  <si>
    <t>вул. Героїв Крут,3</t>
  </si>
  <si>
    <t>153 від 05.07.2017</t>
  </si>
  <si>
    <t xml:space="preserve"> майстерня з пошиву та ремонту одягу</t>
  </si>
  <si>
    <t>05.07.17-05.06.20</t>
  </si>
  <si>
    <t>№178 05.07.2017</t>
  </si>
  <si>
    <t>Глухівське комунальне виробниче управління водогінно-каналізаційного господарства</t>
  </si>
  <si>
    <t>вул. Терещенків,53</t>
  </si>
  <si>
    <t>154 від 04.12.2017</t>
  </si>
  <si>
    <t>виконання робіт з обслуговування та ремонту внутрішньо будинкових мереж водопроводу та каналізації</t>
  </si>
  <si>
    <t>04.12.17-04.11.20</t>
  </si>
  <si>
    <t>№316 01.12.2017</t>
  </si>
  <si>
    <t>ФОП Кульша І.М.</t>
  </si>
  <si>
    <t>вул. Спаська,4</t>
  </si>
  <si>
    <t>157 від 01.07.2019</t>
  </si>
  <si>
    <t>розміщення парковки трансполртних засобів</t>
  </si>
  <si>
    <t>01.07.19-01.06.22</t>
  </si>
  <si>
    <t>№116 від 16.05.2019</t>
  </si>
  <si>
    <t>Всього оплата за оренду майна комунальної власності м. Глухова</t>
  </si>
  <si>
    <t>1кв 2020р</t>
  </si>
  <si>
    <t>ІІ кв 2020 р</t>
  </si>
  <si>
    <t>ІІІ кв 2020 р</t>
  </si>
  <si>
    <t>ІУкв 2020 р</t>
  </si>
  <si>
    <t xml:space="preserve">  ПЛАН 2020 рік  всього</t>
  </si>
  <si>
    <t>1кв 2020 р</t>
  </si>
  <si>
    <t>ФАКТ  2020 рік  всього</t>
  </si>
  <si>
    <t>майдан Соборний,6</t>
  </si>
  <si>
    <t>розміщення торговельного об'єкту з продажу непродовольчих та продовольчих товарів (крім алкогольних та тютюнових виробів)</t>
  </si>
  <si>
    <t>158 від 10.10.2019</t>
  </si>
  <si>
    <t>11.10.2019-11.09.2022</t>
  </si>
  <si>
    <t>№210 від 24.09.2019</t>
  </si>
  <si>
    <t>Перелік орендарів майна комунальної власності територіальної громади м. Глухова .                                                                                                                           Планові та фактичні показники сплати за договорами оренди на 2020 рік.</t>
  </si>
  <si>
    <t>-</t>
  </si>
  <si>
    <t>відхилення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</si>
</sst>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1" applyFont="1" applyBorder="1" applyAlignment="1">
      <alignment vertical="top" wrapText="1"/>
    </xf>
    <xf numFmtId="0" fontId="1" fillId="0" borderId="0" xfId="1"/>
    <xf numFmtId="0" fontId="3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left" vertical="top" wrapText="1"/>
    </xf>
    <xf numFmtId="164" fontId="2" fillId="0" borderId="1" xfId="1" applyNumberFormat="1" applyFont="1" applyBorder="1" applyAlignment="1">
      <alignment horizontal="center" vertical="top" wrapText="1"/>
    </xf>
    <xf numFmtId="14" fontId="2" fillId="0" borderId="1" xfId="1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/>
    </xf>
    <xf numFmtId="0" fontId="2" fillId="0" borderId="3" xfId="1" applyFont="1" applyBorder="1" applyAlignment="1">
      <alignment horizontal="center" vertical="top"/>
    </xf>
    <xf numFmtId="0" fontId="1" fillId="0" borderId="0" xfId="1" applyBorder="1"/>
    <xf numFmtId="0" fontId="2" fillId="0" borderId="0" xfId="1" applyFont="1" applyAlignment="1">
      <alignment vertical="top"/>
    </xf>
    <xf numFmtId="0" fontId="2" fillId="0" borderId="1" xfId="1" applyFont="1" applyBorder="1" applyAlignment="1">
      <alignment vertical="top" wrapText="1"/>
    </xf>
    <xf numFmtId="0" fontId="4" fillId="0" borderId="1" xfId="1" applyFont="1" applyBorder="1" applyAlignment="1">
      <alignment horizontal="center" vertical="top" wrapText="1"/>
    </xf>
    <xf numFmtId="0" fontId="1" fillId="0" borderId="1" xfId="1" applyBorder="1"/>
    <xf numFmtId="2" fontId="1" fillId="0" borderId="1" xfId="1" applyNumberFormat="1" applyBorder="1"/>
    <xf numFmtId="0" fontId="4" fillId="0" borderId="0" xfId="1" applyFont="1" applyBorder="1" applyAlignment="1">
      <alignment horizontal="center" vertical="top" wrapText="1"/>
    </xf>
    <xf numFmtId="2" fontId="1" fillId="0" borderId="0" xfId="1" applyNumberFormat="1" applyBorder="1"/>
    <xf numFmtId="0" fontId="3" fillId="0" borderId="1" xfId="1" applyFont="1" applyBorder="1" applyAlignment="1">
      <alignment horizontal="center" vertical="top" wrapText="1"/>
    </xf>
    <xf numFmtId="164" fontId="2" fillId="0" borderId="1" xfId="1" applyNumberFormat="1" applyFont="1" applyBorder="1" applyAlignment="1">
      <alignment horizontal="left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5" fillId="0" borderId="0" xfId="1" applyFont="1" applyAlignment="1">
      <alignment horizontal="center" vertical="top" wrapText="1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3" fillId="0" borderId="2" xfId="1" applyFont="1" applyBorder="1" applyAlignment="1">
      <alignment horizontal="left" vertical="top" wrapText="1"/>
    </xf>
    <xf numFmtId="0" fontId="3" fillId="0" borderId="3" xfId="1" applyFont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tabSelected="1" topLeftCell="B1" zoomScale="85" zoomScaleNormal="85" workbookViewId="0">
      <selection activeCell="Y5" sqref="Y5"/>
    </sheetView>
  </sheetViews>
  <sheetFormatPr defaultRowHeight="15" x14ac:dyDescent="0.25"/>
  <cols>
    <col min="1" max="1" width="5.42578125" customWidth="1"/>
    <col min="2" max="2" width="27" customWidth="1"/>
    <col min="3" max="3" width="12.140625" customWidth="1"/>
    <col min="4" max="4" width="16.140625" customWidth="1"/>
    <col min="5" max="5" width="16.42578125" customWidth="1"/>
    <col min="6" max="6" width="21" customWidth="1"/>
    <col min="7" max="7" width="19.7109375" customWidth="1"/>
    <col min="8" max="8" width="25" customWidth="1"/>
    <col min="9" max="9" width="16.85546875" customWidth="1"/>
    <col min="10" max="10" width="19.28515625" customWidth="1"/>
    <col min="11" max="13" width="9.140625" customWidth="1"/>
    <col min="14" max="14" width="12" customWidth="1"/>
    <col min="19" max="19" width="13.28515625" customWidth="1"/>
  </cols>
  <sheetData>
    <row r="1" spans="1:25" ht="56.25" customHeight="1" x14ac:dyDescent="0.25">
      <c r="A1" s="2"/>
      <c r="B1" s="2"/>
      <c r="C1" s="28" t="s">
        <v>133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"/>
      <c r="S1" s="2"/>
      <c r="T1" s="2"/>
      <c r="U1" s="2"/>
      <c r="V1" s="2"/>
      <c r="W1" s="2"/>
      <c r="X1" s="2"/>
      <c r="Y1" s="2"/>
    </row>
    <row r="3" spans="1:25" ht="69.95" customHeight="1" x14ac:dyDescent="0.25">
      <c r="A3" s="29" t="s">
        <v>0</v>
      </c>
      <c r="B3" s="31" t="s">
        <v>1</v>
      </c>
      <c r="C3" s="27" t="s">
        <v>2</v>
      </c>
      <c r="D3" s="27" t="s">
        <v>3</v>
      </c>
      <c r="E3" s="27" t="s">
        <v>4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  <c r="K3" s="27" t="s">
        <v>10</v>
      </c>
      <c r="L3" s="27" t="s">
        <v>11</v>
      </c>
      <c r="M3" s="27" t="s">
        <v>12</v>
      </c>
      <c r="N3" s="27" t="s">
        <v>13</v>
      </c>
      <c r="O3" s="27" t="s">
        <v>14</v>
      </c>
      <c r="P3" s="27"/>
      <c r="Q3" s="27"/>
      <c r="R3" s="27"/>
      <c r="S3" s="27"/>
      <c r="T3" s="24" t="s">
        <v>15</v>
      </c>
      <c r="U3" s="25"/>
      <c r="V3" s="25"/>
      <c r="W3" s="25"/>
      <c r="X3" s="26"/>
      <c r="Y3" s="22" t="s">
        <v>135</v>
      </c>
    </row>
    <row r="4" spans="1:25" ht="32.25" customHeight="1" x14ac:dyDescent="0.25">
      <c r="A4" s="30"/>
      <c r="B4" s="32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3" t="s">
        <v>121</v>
      </c>
      <c r="P4" s="3" t="s">
        <v>122</v>
      </c>
      <c r="Q4" s="3" t="s">
        <v>123</v>
      </c>
      <c r="R4" s="3" t="s">
        <v>124</v>
      </c>
      <c r="S4" s="3" t="s">
        <v>125</v>
      </c>
      <c r="T4" s="5" t="s">
        <v>126</v>
      </c>
      <c r="U4" s="3" t="s">
        <v>122</v>
      </c>
      <c r="V4" s="3" t="s">
        <v>123</v>
      </c>
      <c r="W4" s="3" t="s">
        <v>16</v>
      </c>
      <c r="X4" s="3" t="s">
        <v>127</v>
      </c>
      <c r="Y4" s="3"/>
    </row>
    <row r="5" spans="1:25" ht="69.95" customHeight="1" x14ac:dyDescent="0.25">
      <c r="A5" s="4">
        <v>1</v>
      </c>
      <c r="B5" s="4" t="s">
        <v>17</v>
      </c>
      <c r="C5" s="4" t="s">
        <v>18</v>
      </c>
      <c r="D5" s="6">
        <v>31264419</v>
      </c>
      <c r="E5" s="6" t="s">
        <v>19</v>
      </c>
      <c r="F5" s="6" t="s">
        <v>20</v>
      </c>
      <c r="G5" s="6">
        <v>4058048</v>
      </c>
      <c r="H5" s="4" t="s">
        <v>21</v>
      </c>
      <c r="I5" s="4" t="s">
        <v>22</v>
      </c>
      <c r="J5" s="6" t="s">
        <v>23</v>
      </c>
      <c r="K5" s="6">
        <v>276.8</v>
      </c>
      <c r="L5" s="6">
        <v>8</v>
      </c>
      <c r="M5" s="6">
        <v>2131.33</v>
      </c>
      <c r="N5" s="11">
        <v>41699</v>
      </c>
      <c r="O5" s="6">
        <v>8410.23</v>
      </c>
      <c r="P5" s="6">
        <v>8511.15</v>
      </c>
      <c r="Q5" s="6">
        <v>8494.11</v>
      </c>
      <c r="R5" s="6">
        <v>8545.11</v>
      </c>
      <c r="S5" s="6">
        <f t="shared" ref="S5:S14" si="0">O5+P5+Q5+R5</f>
        <v>33960.6</v>
      </c>
      <c r="T5" s="4">
        <v>8214.35</v>
      </c>
      <c r="U5" s="4">
        <v>8328.69</v>
      </c>
      <c r="V5" s="4">
        <v>8337.85</v>
      </c>
      <c r="W5" s="4">
        <v>8443.7800000000007</v>
      </c>
      <c r="X5" s="4">
        <f>T5+U5+V5+W5</f>
        <v>33324.67</v>
      </c>
      <c r="Y5" s="4">
        <f>X5-S5</f>
        <v>-635.93000000000029</v>
      </c>
    </row>
    <row r="6" spans="1:25" ht="69.95" customHeight="1" x14ac:dyDescent="0.25">
      <c r="A6" s="8">
        <v>2</v>
      </c>
      <c r="B6" s="8" t="s">
        <v>24</v>
      </c>
      <c r="C6" s="8" t="s">
        <v>25</v>
      </c>
      <c r="D6" s="7">
        <v>321129</v>
      </c>
      <c r="E6" s="7" t="s">
        <v>26</v>
      </c>
      <c r="F6" s="6" t="s">
        <v>20</v>
      </c>
      <c r="G6" s="6">
        <v>4058048</v>
      </c>
      <c r="H6" s="4" t="s">
        <v>27</v>
      </c>
      <c r="I6" s="8" t="s">
        <v>28</v>
      </c>
      <c r="J6" s="7" t="s">
        <v>29</v>
      </c>
      <c r="K6" s="7">
        <v>168.4</v>
      </c>
      <c r="L6" s="6" t="s">
        <v>30</v>
      </c>
      <c r="M6" s="7">
        <v>3810.7</v>
      </c>
      <c r="N6" s="7" t="s">
        <v>31</v>
      </c>
      <c r="O6" s="7">
        <f>5066.57*3</f>
        <v>15199.71</v>
      </c>
      <c r="P6" s="7">
        <f>5127.37*3</f>
        <v>15382.11</v>
      </c>
      <c r="Q6" s="6">
        <f>5117.11*3</f>
        <v>15351.329999999998</v>
      </c>
      <c r="R6" s="6">
        <f>5147.82*3</f>
        <v>15443.46</v>
      </c>
      <c r="S6" s="6">
        <f t="shared" si="0"/>
        <v>61376.609999999993</v>
      </c>
      <c r="T6" s="8">
        <v>14848.38</v>
      </c>
      <c r="U6" s="8">
        <v>8806.7099999999991</v>
      </c>
      <c r="V6" s="4">
        <v>7535.74</v>
      </c>
      <c r="W6" s="4">
        <v>7631.47</v>
      </c>
      <c r="X6" s="4">
        <f>U6+T6+V6+W6</f>
        <v>38822.299999999996</v>
      </c>
      <c r="Y6" s="4">
        <f t="shared" ref="Y6:Y23" si="1">X6-S6</f>
        <v>-22554.309999999998</v>
      </c>
    </row>
    <row r="7" spans="1:25" ht="49.5" customHeight="1" x14ac:dyDescent="0.25">
      <c r="A7" s="4">
        <f>A6+1</f>
        <v>3</v>
      </c>
      <c r="B7" s="4" t="s">
        <v>32</v>
      </c>
      <c r="C7" s="4" t="s">
        <v>33</v>
      </c>
      <c r="D7" s="6">
        <v>24009307</v>
      </c>
      <c r="E7" s="6">
        <v>14</v>
      </c>
      <c r="F7" s="6" t="s">
        <v>20</v>
      </c>
      <c r="G7" s="6">
        <v>4058048</v>
      </c>
      <c r="H7" s="4" t="s">
        <v>34</v>
      </c>
      <c r="I7" s="4" t="s">
        <v>35</v>
      </c>
      <c r="J7" s="6" t="s">
        <v>36</v>
      </c>
      <c r="K7" s="6">
        <v>65.3</v>
      </c>
      <c r="L7" s="12">
        <v>5</v>
      </c>
      <c r="M7" s="6">
        <v>198.74</v>
      </c>
      <c r="N7" s="11" t="s">
        <v>37</v>
      </c>
      <c r="O7" s="6">
        <f>264.26*3</f>
        <v>792.78</v>
      </c>
      <c r="P7" s="6">
        <f>267.43*3</f>
        <v>802.29</v>
      </c>
      <c r="Q7" s="6">
        <f>266.9*3</f>
        <v>800.69999999999993</v>
      </c>
      <c r="R7" s="6">
        <f>268.5*3</f>
        <v>805.5</v>
      </c>
      <c r="S7" s="6">
        <f t="shared" si="0"/>
        <v>3201.27</v>
      </c>
      <c r="T7" s="6" t="s">
        <v>134</v>
      </c>
      <c r="U7" s="6">
        <v>1600</v>
      </c>
      <c r="V7" s="4">
        <v>470</v>
      </c>
      <c r="W7" s="4">
        <v>1065.1500000000001</v>
      </c>
      <c r="X7" s="4">
        <f>W7+V7+U7</f>
        <v>3135.15</v>
      </c>
      <c r="Y7" s="4">
        <f t="shared" si="1"/>
        <v>-66.119999999999891</v>
      </c>
    </row>
    <row r="8" spans="1:25" ht="49.5" customHeight="1" x14ac:dyDescent="0.25">
      <c r="A8" s="4">
        <f>A7+1</f>
        <v>4</v>
      </c>
      <c r="B8" s="4" t="s">
        <v>38</v>
      </c>
      <c r="C8" s="4" t="s">
        <v>39</v>
      </c>
      <c r="D8" s="6">
        <v>2222210074</v>
      </c>
      <c r="E8" s="6" t="s">
        <v>40</v>
      </c>
      <c r="F8" s="6" t="s">
        <v>20</v>
      </c>
      <c r="G8" s="6">
        <v>4058048</v>
      </c>
      <c r="H8" s="4" t="s">
        <v>41</v>
      </c>
      <c r="I8" s="4" t="s">
        <v>42</v>
      </c>
      <c r="J8" s="6" t="s">
        <v>43</v>
      </c>
      <c r="K8" s="6">
        <v>0</v>
      </c>
      <c r="L8" s="13">
        <v>5</v>
      </c>
      <c r="M8" s="6">
        <v>318.36</v>
      </c>
      <c r="N8" s="6" t="s">
        <v>44</v>
      </c>
      <c r="O8" s="6">
        <f>423.3*3</f>
        <v>1269.9000000000001</v>
      </c>
      <c r="P8" s="6">
        <f>433.46*3</f>
        <v>1300.3799999999999</v>
      </c>
      <c r="Q8" s="6">
        <f>432.59*3</f>
        <v>1297.77</v>
      </c>
      <c r="R8" s="6">
        <f>435.19*3</f>
        <v>1305.57</v>
      </c>
      <c r="S8" s="6">
        <f t="shared" si="0"/>
        <v>5173.62</v>
      </c>
      <c r="T8" s="6">
        <v>1240.5899999999999</v>
      </c>
      <c r="U8" s="6">
        <v>836.91</v>
      </c>
      <c r="V8" s="4">
        <v>1681.83</v>
      </c>
      <c r="W8" s="4">
        <v>1275.17</v>
      </c>
      <c r="X8" s="4">
        <f>W8+V8+U8+T8</f>
        <v>5034.5</v>
      </c>
      <c r="Y8" s="4">
        <f t="shared" si="1"/>
        <v>-139.11999999999989</v>
      </c>
    </row>
    <row r="9" spans="1:25" ht="54.75" customHeight="1" x14ac:dyDescent="0.25">
      <c r="A9" s="4">
        <f t="shared" ref="A9:A11" si="2">A8+1</f>
        <v>5</v>
      </c>
      <c r="B9" s="4" t="s">
        <v>45</v>
      </c>
      <c r="C9" s="4" t="s">
        <v>46</v>
      </c>
      <c r="D9" s="6">
        <v>31264431</v>
      </c>
      <c r="E9" s="6" t="s">
        <v>47</v>
      </c>
      <c r="F9" s="6" t="s">
        <v>20</v>
      </c>
      <c r="G9" s="6">
        <v>4058048</v>
      </c>
      <c r="H9" s="4" t="s">
        <v>48</v>
      </c>
      <c r="I9" s="4" t="s">
        <v>49</v>
      </c>
      <c r="J9" s="6" t="s">
        <v>50</v>
      </c>
      <c r="K9" s="6">
        <v>60.1</v>
      </c>
      <c r="L9" s="6">
        <v>3</v>
      </c>
      <c r="M9" s="6">
        <v>241.38</v>
      </c>
      <c r="N9" s="6"/>
      <c r="O9" s="6">
        <f>340.89*3</f>
        <v>1022.67</v>
      </c>
      <c r="P9" s="6">
        <f>344.98*3</f>
        <v>1034.94</v>
      </c>
      <c r="Q9" s="6">
        <f>344.29*3</f>
        <v>1032.8700000000001</v>
      </c>
      <c r="R9" s="6">
        <f>346.36*3</f>
        <v>1039.08</v>
      </c>
      <c r="S9" s="6">
        <f t="shared" si="0"/>
        <v>4129.5600000000004</v>
      </c>
      <c r="T9" s="6">
        <v>990.04</v>
      </c>
      <c r="U9" s="6">
        <v>673.14</v>
      </c>
      <c r="V9" s="4" t="s">
        <v>134</v>
      </c>
      <c r="W9" s="4" t="s">
        <v>134</v>
      </c>
      <c r="X9" s="4">
        <v>1663.18</v>
      </c>
      <c r="Y9" s="4">
        <f t="shared" si="1"/>
        <v>-2466.38</v>
      </c>
    </row>
    <row r="10" spans="1:25" ht="51.75" customHeight="1" x14ac:dyDescent="0.25">
      <c r="A10" s="4">
        <f t="shared" si="2"/>
        <v>6</v>
      </c>
      <c r="B10" s="4" t="s">
        <v>51</v>
      </c>
      <c r="C10" s="4" t="s">
        <v>52</v>
      </c>
      <c r="D10" s="6">
        <v>2368101612</v>
      </c>
      <c r="E10" s="6" t="s">
        <v>53</v>
      </c>
      <c r="F10" s="6" t="s">
        <v>20</v>
      </c>
      <c r="G10" s="6">
        <v>4058048</v>
      </c>
      <c r="H10" s="4" t="s">
        <v>54</v>
      </c>
      <c r="I10" s="4" t="s">
        <v>55</v>
      </c>
      <c r="J10" s="6" t="s">
        <v>56</v>
      </c>
      <c r="K10" s="6">
        <v>65.400000000000006</v>
      </c>
      <c r="L10" s="6">
        <v>15</v>
      </c>
      <c r="M10" s="6">
        <v>687.5</v>
      </c>
      <c r="N10" s="4"/>
      <c r="O10" s="6">
        <f>895.18*3</f>
        <v>2685.54</v>
      </c>
      <c r="P10" s="6">
        <f>905.92*3</f>
        <v>2717.7599999999998</v>
      </c>
      <c r="Q10" s="6">
        <f>904.11*3</f>
        <v>2712.33</v>
      </c>
      <c r="R10" s="6">
        <f>909.53*3</f>
        <v>2728.59</v>
      </c>
      <c r="S10" s="6">
        <f t="shared" si="0"/>
        <v>10844.22</v>
      </c>
      <c r="T10" s="6">
        <v>1750.15</v>
      </c>
      <c r="U10" s="10">
        <v>3515.45</v>
      </c>
      <c r="V10" s="4">
        <v>1820</v>
      </c>
      <c r="W10" s="4">
        <v>1740</v>
      </c>
      <c r="X10" s="23">
        <f>W10+V10+U10+T10</f>
        <v>8825.6</v>
      </c>
      <c r="Y10" s="4">
        <f t="shared" si="1"/>
        <v>-2018.619999999999</v>
      </c>
    </row>
    <row r="11" spans="1:25" ht="60.75" customHeight="1" x14ac:dyDescent="0.25">
      <c r="A11" s="4">
        <f t="shared" si="2"/>
        <v>7</v>
      </c>
      <c r="B11" s="4" t="s">
        <v>57</v>
      </c>
      <c r="C11" s="4" t="s">
        <v>58</v>
      </c>
      <c r="D11" s="6">
        <v>34950569</v>
      </c>
      <c r="E11" s="6" t="s">
        <v>59</v>
      </c>
      <c r="F11" s="6" t="s">
        <v>20</v>
      </c>
      <c r="G11" s="6">
        <v>4058048</v>
      </c>
      <c r="H11" s="4" t="s">
        <v>60</v>
      </c>
      <c r="I11" s="4" t="s">
        <v>61</v>
      </c>
      <c r="J11" s="6" t="s">
        <v>62</v>
      </c>
      <c r="K11" s="6">
        <v>43</v>
      </c>
      <c r="L11" s="6">
        <v>3</v>
      </c>
      <c r="M11" s="6">
        <v>315.25</v>
      </c>
      <c r="N11" s="4"/>
      <c r="O11" s="6">
        <f>410.49*3</f>
        <v>1231.47</v>
      </c>
      <c r="P11" s="6">
        <f>415.42*3</f>
        <v>1246.26</v>
      </c>
      <c r="Q11" s="6">
        <f>414.59*3</f>
        <v>1243.77</v>
      </c>
      <c r="R11" s="6">
        <f>417.08*3</f>
        <v>1251.24</v>
      </c>
      <c r="S11" s="6">
        <f t="shared" si="0"/>
        <v>4972.74</v>
      </c>
      <c r="T11" s="6">
        <v>1206.33</v>
      </c>
      <c r="U11" s="6">
        <v>1228.81</v>
      </c>
      <c r="V11" s="4">
        <v>1231.23</v>
      </c>
      <c r="W11" s="4">
        <v>1246.8800000000001</v>
      </c>
      <c r="X11" s="4">
        <f>T11+U11+V11+W11</f>
        <v>4913.25</v>
      </c>
      <c r="Y11" s="4">
        <f t="shared" si="1"/>
        <v>-59.489999999999782</v>
      </c>
    </row>
    <row r="12" spans="1:25" ht="59.25" customHeight="1" x14ac:dyDescent="0.25">
      <c r="A12" s="4">
        <f>A11+1</f>
        <v>8</v>
      </c>
      <c r="B12" s="4" t="s">
        <v>63</v>
      </c>
      <c r="C12" s="4" t="s">
        <v>64</v>
      </c>
      <c r="D12" s="6">
        <v>2719720428</v>
      </c>
      <c r="E12" s="6" t="s">
        <v>65</v>
      </c>
      <c r="F12" s="6" t="s">
        <v>20</v>
      </c>
      <c r="G12" s="6">
        <v>4058048</v>
      </c>
      <c r="H12" s="4" t="s">
        <v>66</v>
      </c>
      <c r="I12" s="4" t="s">
        <v>67</v>
      </c>
      <c r="J12" s="6" t="s">
        <v>68</v>
      </c>
      <c r="K12" s="6">
        <v>11.7</v>
      </c>
      <c r="L12" s="6">
        <v>5</v>
      </c>
      <c r="M12" s="6">
        <v>271.39999999999998</v>
      </c>
      <c r="N12" s="4"/>
      <c r="O12" s="6">
        <f>361.53*3</f>
        <v>1084.5899999999999</v>
      </c>
      <c r="P12" s="6">
        <f>365.87*3</f>
        <v>1097.6100000000001</v>
      </c>
      <c r="Q12" s="6">
        <f>365.14*3</f>
        <v>1095.42</v>
      </c>
      <c r="R12" s="6">
        <f>367.33*3</f>
        <v>1101.99</v>
      </c>
      <c r="S12" s="6">
        <f t="shared" si="0"/>
        <v>4379.6099999999997</v>
      </c>
      <c r="T12" s="10">
        <v>1439.95</v>
      </c>
      <c r="U12" s="10">
        <v>700</v>
      </c>
      <c r="V12" s="4">
        <v>1050</v>
      </c>
      <c r="W12" s="4">
        <v>1500</v>
      </c>
      <c r="X12" s="23">
        <f>W12+V12+U12+T12</f>
        <v>4689.95</v>
      </c>
      <c r="Y12" s="4">
        <f t="shared" si="1"/>
        <v>310.34000000000015</v>
      </c>
    </row>
    <row r="13" spans="1:25" ht="60" customHeight="1" x14ac:dyDescent="0.25">
      <c r="A13" s="4">
        <f>A12+1</f>
        <v>9</v>
      </c>
      <c r="B13" s="4" t="s">
        <v>69</v>
      </c>
      <c r="C13" s="4" t="s">
        <v>44</v>
      </c>
      <c r="D13" s="6">
        <v>2729644</v>
      </c>
      <c r="E13" s="6" t="s">
        <v>70</v>
      </c>
      <c r="F13" s="6" t="s">
        <v>20</v>
      </c>
      <c r="G13" s="6">
        <v>4058048</v>
      </c>
      <c r="H13" s="4" t="s">
        <v>71</v>
      </c>
      <c r="I13" s="4" t="s">
        <v>72</v>
      </c>
      <c r="J13" s="6" t="s">
        <v>73</v>
      </c>
      <c r="K13" s="6">
        <v>282.7</v>
      </c>
      <c r="L13" s="6">
        <v>10</v>
      </c>
      <c r="M13" s="6">
        <v>1465.68</v>
      </c>
      <c r="N13" s="4"/>
      <c r="O13" s="6">
        <v>2249.41</v>
      </c>
      <c r="P13" s="6">
        <v>2276.4</v>
      </c>
      <c r="Q13" s="6">
        <v>2271.85</v>
      </c>
      <c r="R13" s="6">
        <v>2285.48</v>
      </c>
      <c r="S13" s="6">
        <f t="shared" si="0"/>
        <v>9083.14</v>
      </c>
      <c r="T13" s="6">
        <v>6592.25</v>
      </c>
      <c r="U13" s="6">
        <v>4441.78</v>
      </c>
      <c r="V13" s="4">
        <v>8932.19</v>
      </c>
      <c r="W13" s="4">
        <v>6776.4</v>
      </c>
      <c r="X13" s="4">
        <f>T13+U13+V13+W13</f>
        <v>26742.620000000003</v>
      </c>
      <c r="Y13" s="4">
        <f t="shared" si="1"/>
        <v>17659.480000000003</v>
      </c>
    </row>
    <row r="14" spans="1:25" ht="45" customHeight="1" x14ac:dyDescent="0.25">
      <c r="A14" s="4">
        <v>10</v>
      </c>
      <c r="B14" s="4" t="s">
        <v>74</v>
      </c>
      <c r="C14" s="4" t="s">
        <v>75</v>
      </c>
      <c r="D14" s="6">
        <v>4390216</v>
      </c>
      <c r="E14" s="6" t="s">
        <v>76</v>
      </c>
      <c r="F14" s="6" t="s">
        <v>20</v>
      </c>
      <c r="G14" s="6">
        <v>4058048</v>
      </c>
      <c r="H14" s="4" t="s">
        <v>77</v>
      </c>
      <c r="I14" s="4" t="s">
        <v>78</v>
      </c>
      <c r="J14" s="6" t="s">
        <v>79</v>
      </c>
      <c r="K14" s="6">
        <v>162.80000000000001</v>
      </c>
      <c r="L14" s="6">
        <v>3</v>
      </c>
      <c r="M14" s="6">
        <v>1372.75</v>
      </c>
      <c r="N14" s="4"/>
      <c r="O14" s="6">
        <f>1825.18*3</f>
        <v>5475.54</v>
      </c>
      <c r="P14" s="6">
        <f>1847.08*3</f>
        <v>5541.24</v>
      </c>
      <c r="Q14" s="6">
        <f>1843.39*3</f>
        <v>5530.17</v>
      </c>
      <c r="R14" s="6">
        <f>1854.49*3</f>
        <v>5563.47</v>
      </c>
      <c r="S14" s="6">
        <f t="shared" si="0"/>
        <v>22110.42</v>
      </c>
      <c r="T14" s="6">
        <v>3466.58</v>
      </c>
      <c r="U14" s="6">
        <v>5418.7</v>
      </c>
      <c r="V14" s="4">
        <v>5429.39</v>
      </c>
      <c r="W14" s="4">
        <v>7377.18</v>
      </c>
      <c r="X14" s="4">
        <f>T14+U14+V14+W14</f>
        <v>21691.85</v>
      </c>
      <c r="Y14" s="4">
        <f t="shared" si="1"/>
        <v>-418.56999999999971</v>
      </c>
    </row>
    <row r="15" spans="1:25" ht="48" customHeight="1" x14ac:dyDescent="0.25">
      <c r="A15" s="4">
        <f t="shared" ref="A15" si="3">A14+1</f>
        <v>11</v>
      </c>
      <c r="B15" s="4" t="s">
        <v>80</v>
      </c>
      <c r="C15" s="4" t="s">
        <v>81</v>
      </c>
      <c r="D15" s="6">
        <v>40824896</v>
      </c>
      <c r="E15" s="6" t="s">
        <v>82</v>
      </c>
      <c r="F15" s="6" t="s">
        <v>20</v>
      </c>
      <c r="G15" s="6">
        <v>4058048</v>
      </c>
      <c r="H15" s="4" t="s">
        <v>83</v>
      </c>
      <c r="I15" s="4" t="s">
        <v>84</v>
      </c>
      <c r="J15" s="6" t="s">
        <v>85</v>
      </c>
      <c r="K15" s="6">
        <v>237.6</v>
      </c>
      <c r="L15" s="6">
        <v>10</v>
      </c>
      <c r="M15" s="6">
        <v>2141.67</v>
      </c>
      <c r="N15" s="4"/>
      <c r="O15" s="6">
        <f>2882.24*3</f>
        <v>8646.7199999999993</v>
      </c>
      <c r="P15" s="6">
        <f>2916.83*3</f>
        <v>8750.49</v>
      </c>
      <c r="Q15" s="6">
        <f>2910.99*3</f>
        <v>8732.9699999999993</v>
      </c>
      <c r="R15" s="6">
        <f>2928.46*3</f>
        <v>8785.380000000001</v>
      </c>
      <c r="S15" s="6">
        <f t="shared" ref="S15:S22" si="4">O15+P15+Q15+R15</f>
        <v>34915.56</v>
      </c>
      <c r="T15" s="6">
        <v>8146.87</v>
      </c>
      <c r="U15" s="6"/>
      <c r="V15" s="4">
        <v>24102.720000000001</v>
      </c>
      <c r="W15" s="4">
        <v>3360.3</v>
      </c>
      <c r="X15" s="4">
        <f>T15+U15+V15+W15</f>
        <v>35609.89</v>
      </c>
      <c r="Y15" s="4">
        <f t="shared" si="1"/>
        <v>694.33000000000175</v>
      </c>
    </row>
    <row r="16" spans="1:25" ht="49.5" customHeight="1" x14ac:dyDescent="0.25">
      <c r="A16" s="4">
        <f t="shared" ref="A16:A20" si="5">A15+1</f>
        <v>12</v>
      </c>
      <c r="B16" s="4" t="s">
        <v>24</v>
      </c>
      <c r="C16" s="4" t="s">
        <v>86</v>
      </c>
      <c r="D16" s="6">
        <v>321129</v>
      </c>
      <c r="E16" s="6" t="s">
        <v>87</v>
      </c>
      <c r="F16" s="6" t="s">
        <v>20</v>
      </c>
      <c r="G16" s="6">
        <v>4058048</v>
      </c>
      <c r="H16" s="4" t="s">
        <v>88</v>
      </c>
      <c r="I16" s="4" t="s">
        <v>89</v>
      </c>
      <c r="J16" s="6" t="s">
        <v>90</v>
      </c>
      <c r="K16" s="6">
        <v>2</v>
      </c>
      <c r="L16" s="6">
        <v>100</v>
      </c>
      <c r="M16" s="6">
        <v>445.83</v>
      </c>
      <c r="N16" s="4"/>
      <c r="O16" s="6">
        <f>592.77*3</f>
        <v>1778.31</v>
      </c>
      <c r="P16" s="6">
        <f>599.88*3</f>
        <v>1799.6399999999999</v>
      </c>
      <c r="Q16" s="6">
        <f>598.68*3</f>
        <v>1796.04</v>
      </c>
      <c r="R16" s="6">
        <f>602.28*3</f>
        <v>1806.84</v>
      </c>
      <c r="S16" s="6">
        <f t="shared" si="4"/>
        <v>7180.83</v>
      </c>
      <c r="T16" s="6">
        <v>1737.22</v>
      </c>
      <c r="U16" s="6">
        <v>1759.87</v>
      </c>
      <c r="V16" s="4">
        <v>1763.34</v>
      </c>
      <c r="W16" s="4">
        <v>1976.77</v>
      </c>
      <c r="X16" s="4">
        <f>W16+V16+U16+T16</f>
        <v>7237.2</v>
      </c>
      <c r="Y16" s="4">
        <f t="shared" si="1"/>
        <v>56.369999999999891</v>
      </c>
    </row>
    <row r="17" spans="1:25" ht="49.5" customHeight="1" x14ac:dyDescent="0.25">
      <c r="A17" s="4">
        <f t="shared" si="5"/>
        <v>13</v>
      </c>
      <c r="B17" s="4" t="s">
        <v>91</v>
      </c>
      <c r="C17" s="4" t="s">
        <v>92</v>
      </c>
      <c r="D17" s="6">
        <v>3446334</v>
      </c>
      <c r="E17" s="6" t="s">
        <v>93</v>
      </c>
      <c r="F17" s="6" t="s">
        <v>20</v>
      </c>
      <c r="G17" s="6">
        <v>4058048</v>
      </c>
      <c r="H17" s="4" t="s">
        <v>94</v>
      </c>
      <c r="I17" s="15" t="s">
        <v>95</v>
      </c>
      <c r="J17" s="6" t="s">
        <v>96</v>
      </c>
      <c r="K17" s="6">
        <v>15</v>
      </c>
      <c r="L17" s="6">
        <v>5220</v>
      </c>
      <c r="M17" s="6">
        <v>4333</v>
      </c>
      <c r="N17" s="4"/>
      <c r="O17" s="6">
        <f>6676.66*3</f>
        <v>20029.98</v>
      </c>
      <c r="P17" s="6">
        <f>6836.9*3</f>
        <v>20510.699999999997</v>
      </c>
      <c r="Q17" s="6">
        <f>6823.23*3</f>
        <v>20469.689999999999</v>
      </c>
      <c r="R17" s="6">
        <f>6864.17*3</f>
        <v>20592.510000000002</v>
      </c>
      <c r="S17" s="6">
        <f t="shared" si="4"/>
        <v>81602.880000000005</v>
      </c>
      <c r="T17" s="6">
        <v>13086.18</v>
      </c>
      <c r="U17" s="6">
        <v>19722.52</v>
      </c>
      <c r="V17" s="4">
        <v>26527.47</v>
      </c>
      <c r="W17" s="4">
        <v>20113.439999999999</v>
      </c>
      <c r="X17" s="4">
        <f t="shared" ref="X17:X22" si="6">T17+U17+V17+W17</f>
        <v>79449.61</v>
      </c>
      <c r="Y17" s="4">
        <f t="shared" si="1"/>
        <v>-2153.2700000000041</v>
      </c>
    </row>
    <row r="18" spans="1:25" ht="46.5" customHeight="1" x14ac:dyDescent="0.25">
      <c r="A18" s="4">
        <f t="shared" si="5"/>
        <v>14</v>
      </c>
      <c r="B18" s="4" t="s">
        <v>97</v>
      </c>
      <c r="C18" s="4" t="s">
        <v>98</v>
      </c>
      <c r="D18" s="6">
        <v>23825401</v>
      </c>
      <c r="E18" s="6" t="s">
        <v>99</v>
      </c>
      <c r="F18" s="6" t="s">
        <v>20</v>
      </c>
      <c r="G18" s="6">
        <v>4058048</v>
      </c>
      <c r="H18" s="4" t="s">
        <v>100</v>
      </c>
      <c r="I18" s="4" t="s">
        <v>101</v>
      </c>
      <c r="J18" s="11">
        <v>37280</v>
      </c>
      <c r="K18" s="6">
        <v>50</v>
      </c>
      <c r="L18" s="6">
        <v>5246.14</v>
      </c>
      <c r="M18" s="6">
        <v>53.4</v>
      </c>
      <c r="N18" s="4"/>
      <c r="O18" s="6">
        <f>6564.91*3</f>
        <v>19694.73</v>
      </c>
      <c r="P18" s="6">
        <f>6643.69*3</f>
        <v>19931.07</v>
      </c>
      <c r="Q18" s="6">
        <f>6630.4*3</f>
        <v>19891.199999999997</v>
      </c>
      <c r="R18" s="6">
        <f>6670.18*3</f>
        <v>20010.54</v>
      </c>
      <c r="S18" s="6">
        <f t="shared" si="4"/>
        <v>79527.540000000008</v>
      </c>
      <c r="T18" s="6">
        <v>19239.52</v>
      </c>
      <c r="U18" s="6">
        <v>19490.34</v>
      </c>
      <c r="V18" s="4">
        <v>27493.85</v>
      </c>
      <c r="W18" s="4">
        <v>20868.36</v>
      </c>
      <c r="X18" s="4">
        <f t="shared" si="6"/>
        <v>87092.069999999992</v>
      </c>
      <c r="Y18" s="4">
        <f t="shared" si="1"/>
        <v>7564.5299999999843</v>
      </c>
    </row>
    <row r="19" spans="1:25" ht="51.75" customHeight="1" x14ac:dyDescent="0.25">
      <c r="A19" s="4">
        <f t="shared" si="5"/>
        <v>15</v>
      </c>
      <c r="B19" s="4" t="s">
        <v>102</v>
      </c>
      <c r="C19" s="4" t="s">
        <v>103</v>
      </c>
      <c r="D19" s="6">
        <v>2789816308</v>
      </c>
      <c r="E19" s="6" t="s">
        <v>104</v>
      </c>
      <c r="F19" s="6" t="s">
        <v>20</v>
      </c>
      <c r="G19" s="6">
        <v>4058048</v>
      </c>
      <c r="H19" s="4" t="s">
        <v>105</v>
      </c>
      <c r="I19" s="4" t="s">
        <v>106</v>
      </c>
      <c r="J19" s="6" t="s">
        <v>107</v>
      </c>
      <c r="K19" s="6">
        <v>5</v>
      </c>
      <c r="L19" s="6">
        <v>222.5</v>
      </c>
      <c r="M19" s="6">
        <v>33</v>
      </c>
      <c r="N19" s="4"/>
      <c r="O19" s="6">
        <f>237.52*3</f>
        <v>712.56000000000006</v>
      </c>
      <c r="P19" s="6">
        <f>240.37*3</f>
        <v>721.11</v>
      </c>
      <c r="Q19" s="6">
        <f>239.89*3</f>
        <v>719.67</v>
      </c>
      <c r="R19" s="6">
        <f>241.33*3</f>
        <v>723.99</v>
      </c>
      <c r="S19" s="6">
        <f t="shared" si="4"/>
        <v>2877.33</v>
      </c>
      <c r="T19" s="10">
        <v>624.12</v>
      </c>
      <c r="U19" s="10">
        <v>536.5</v>
      </c>
      <c r="V19" s="4">
        <v>1490</v>
      </c>
      <c r="W19" s="4">
        <v>900</v>
      </c>
      <c r="X19" s="4">
        <f t="shared" si="6"/>
        <v>3550.62</v>
      </c>
      <c r="Y19" s="4">
        <f t="shared" si="1"/>
        <v>673.29</v>
      </c>
    </row>
    <row r="20" spans="1:25" ht="63.75" customHeight="1" x14ac:dyDescent="0.25">
      <c r="A20" s="4">
        <f t="shared" si="5"/>
        <v>16</v>
      </c>
      <c r="B20" s="4" t="s">
        <v>108</v>
      </c>
      <c r="C20" s="4" t="s">
        <v>109</v>
      </c>
      <c r="D20" s="6">
        <v>4653378</v>
      </c>
      <c r="E20" s="6" t="s">
        <v>110</v>
      </c>
      <c r="F20" s="6" t="s">
        <v>20</v>
      </c>
      <c r="G20" s="6">
        <v>4058048</v>
      </c>
      <c r="H20" s="4" t="s">
        <v>111</v>
      </c>
      <c r="I20" s="4" t="s">
        <v>112</v>
      </c>
      <c r="J20" s="6" t="s">
        <v>113</v>
      </c>
      <c r="K20" s="6">
        <v>3</v>
      </c>
      <c r="L20" s="6">
        <v>237.5</v>
      </c>
      <c r="M20" s="6">
        <v>23.76</v>
      </c>
      <c r="N20" s="4"/>
      <c r="O20" s="6">
        <f>280.6*3</f>
        <v>841.80000000000007</v>
      </c>
      <c r="P20" s="6">
        <f>283.97*3</f>
        <v>851.91000000000008</v>
      </c>
      <c r="Q20" s="6">
        <f>283.4*3</f>
        <v>850.19999999999993</v>
      </c>
      <c r="R20" s="6">
        <f>285.09*3</f>
        <v>855.27</v>
      </c>
      <c r="S20" s="6">
        <f t="shared" si="4"/>
        <v>3399.18</v>
      </c>
      <c r="T20" s="6">
        <v>274.02</v>
      </c>
      <c r="U20" s="10">
        <v>1393.54</v>
      </c>
      <c r="V20" s="4">
        <v>834.67</v>
      </c>
      <c r="W20" s="4">
        <v>319.48</v>
      </c>
      <c r="X20" s="4">
        <f t="shared" si="6"/>
        <v>2821.71</v>
      </c>
      <c r="Y20" s="4">
        <f t="shared" si="1"/>
        <v>-577.4699999999998</v>
      </c>
    </row>
    <row r="21" spans="1:25" ht="46.5" customHeight="1" x14ac:dyDescent="0.25">
      <c r="A21" s="4">
        <f>A20+1</f>
        <v>17</v>
      </c>
      <c r="B21" s="4" t="s">
        <v>114</v>
      </c>
      <c r="C21" s="4" t="s">
        <v>115</v>
      </c>
      <c r="D21" s="6">
        <v>2887407218</v>
      </c>
      <c r="E21" s="6" t="s">
        <v>116</v>
      </c>
      <c r="F21" s="6" t="s">
        <v>20</v>
      </c>
      <c r="G21" s="6">
        <v>4058048</v>
      </c>
      <c r="H21" s="4" t="s">
        <v>117</v>
      </c>
      <c r="I21" s="4" t="s">
        <v>118</v>
      </c>
      <c r="J21" s="6" t="s">
        <v>119</v>
      </c>
      <c r="K21" s="6">
        <v>15</v>
      </c>
      <c r="L21" s="6">
        <v>947.71</v>
      </c>
      <c r="M21" s="6">
        <v>1000</v>
      </c>
      <c r="N21" s="4"/>
      <c r="O21" s="4">
        <f>974.25*3</f>
        <v>2922.75</v>
      </c>
      <c r="P21" s="4">
        <f>985.94*3</f>
        <v>2957.82</v>
      </c>
      <c r="Q21" s="6">
        <f>983.97*3</f>
        <v>2951.91</v>
      </c>
      <c r="R21" s="6">
        <f>989.87*3</f>
        <v>2969.61</v>
      </c>
      <c r="S21" s="6">
        <f t="shared" si="4"/>
        <v>11802.09</v>
      </c>
      <c r="T21" s="4">
        <v>1916.31</v>
      </c>
      <c r="U21" s="4">
        <v>3837.2</v>
      </c>
      <c r="V21" s="4">
        <v>3868.46</v>
      </c>
      <c r="W21" s="4">
        <v>1935.4</v>
      </c>
      <c r="X21" s="4">
        <f t="shared" si="6"/>
        <v>11557.37</v>
      </c>
      <c r="Y21" s="4">
        <f t="shared" si="1"/>
        <v>-244.71999999999935</v>
      </c>
    </row>
    <row r="22" spans="1:25" ht="66" customHeight="1" x14ac:dyDescent="0.25">
      <c r="A22" s="4">
        <v>18</v>
      </c>
      <c r="B22" s="4" t="s">
        <v>114</v>
      </c>
      <c r="C22" s="4" t="s">
        <v>128</v>
      </c>
      <c r="D22" s="6">
        <v>2887407218</v>
      </c>
      <c r="E22" s="6" t="s">
        <v>130</v>
      </c>
      <c r="F22" s="6" t="s">
        <v>20</v>
      </c>
      <c r="G22" s="6">
        <v>4058048</v>
      </c>
      <c r="H22" s="4" t="s">
        <v>129</v>
      </c>
      <c r="I22" s="4" t="s">
        <v>131</v>
      </c>
      <c r="J22" s="6" t="s">
        <v>132</v>
      </c>
      <c r="K22" s="6">
        <v>199.2</v>
      </c>
      <c r="L22" s="6">
        <v>18</v>
      </c>
      <c r="M22" s="6">
        <v>172.89</v>
      </c>
      <c r="N22" s="4"/>
      <c r="O22" s="4">
        <f>1774.82*3</f>
        <v>5324.46</v>
      </c>
      <c r="P22" s="4">
        <f>1796.12*3</f>
        <v>5388.36</v>
      </c>
      <c r="Q22" s="6">
        <f>1792.53*3</f>
        <v>5377.59</v>
      </c>
      <c r="R22" s="6">
        <f>1803.28*3</f>
        <v>5409.84</v>
      </c>
      <c r="S22" s="6">
        <f t="shared" si="4"/>
        <v>21500.25</v>
      </c>
      <c r="T22" s="4">
        <v>3491.09</v>
      </c>
      <c r="U22" s="4">
        <v>6990.1</v>
      </c>
      <c r="V22" s="4">
        <v>13443.22</v>
      </c>
      <c r="W22" s="4">
        <v>1786.06</v>
      </c>
      <c r="X22" s="4">
        <f t="shared" si="6"/>
        <v>25710.47</v>
      </c>
      <c r="Y22" s="4">
        <f t="shared" si="1"/>
        <v>4210.2200000000012</v>
      </c>
    </row>
    <row r="23" spans="1:25" ht="33.75" customHeight="1" x14ac:dyDescent="0.25">
      <c r="A23" s="16"/>
      <c r="B23" s="4" t="s">
        <v>120</v>
      </c>
      <c r="C23" s="16"/>
      <c r="D23" s="16"/>
      <c r="E23" s="16"/>
      <c r="F23" s="16"/>
      <c r="G23" s="16"/>
      <c r="H23" s="16"/>
      <c r="I23" s="17"/>
      <c r="J23" s="17"/>
      <c r="K23" s="17"/>
      <c r="L23" s="18"/>
      <c r="M23" s="18"/>
      <c r="N23" s="18"/>
      <c r="O23" s="18"/>
      <c r="P23" s="18"/>
      <c r="Q23" s="18">
        <v>0</v>
      </c>
      <c r="R23" s="18">
        <v>0</v>
      </c>
      <c r="S23" s="19">
        <f>SUM(S5:S22)</f>
        <v>402037.45</v>
      </c>
      <c r="T23" s="18"/>
      <c r="U23" s="18"/>
      <c r="V23" s="18"/>
      <c r="W23" s="18"/>
      <c r="X23" s="18">
        <f>SUM(X5:X22)</f>
        <v>401872.01</v>
      </c>
      <c r="Y23" s="4">
        <f t="shared" si="1"/>
        <v>-165.44000000000233</v>
      </c>
    </row>
    <row r="24" spans="1:25" ht="69.95" customHeight="1" x14ac:dyDescent="0.25">
      <c r="A24" s="1"/>
      <c r="B24" s="9"/>
      <c r="C24" s="1"/>
      <c r="D24" s="1"/>
      <c r="E24" s="1"/>
      <c r="F24" s="1"/>
      <c r="G24" s="1"/>
      <c r="H24" s="1"/>
      <c r="I24" s="20"/>
      <c r="J24" s="20"/>
      <c r="K24" s="20"/>
      <c r="L24" s="14"/>
      <c r="M24" s="14"/>
      <c r="N24" s="14"/>
      <c r="O24" s="14"/>
      <c r="P24" s="14"/>
      <c r="Q24" s="14"/>
      <c r="R24" s="14"/>
      <c r="S24" s="21"/>
      <c r="T24" s="14"/>
      <c r="U24" s="14"/>
      <c r="V24" s="14"/>
      <c r="W24" s="14"/>
      <c r="X24" s="14"/>
      <c r="Y24" s="14"/>
    </row>
  </sheetData>
  <mergeCells count="17">
    <mergeCell ref="C1:Q1"/>
    <mergeCell ref="A3:A4"/>
    <mergeCell ref="B3:B4"/>
    <mergeCell ref="N3:N4"/>
    <mergeCell ref="O3:S3"/>
    <mergeCell ref="T3:X3"/>
    <mergeCell ref="M3:M4"/>
    <mergeCell ref="L3:L4"/>
    <mergeCell ref="F3:F4"/>
    <mergeCell ref="C3:C4"/>
    <mergeCell ref="D3:D4"/>
    <mergeCell ref="E3:E4"/>
    <mergeCell ref="G3:G4"/>
    <mergeCell ref="H3:H4"/>
    <mergeCell ref="I3:I4"/>
    <mergeCell ref="J3:J4"/>
    <mergeCell ref="K3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dcterms:created xsi:type="dcterms:W3CDTF">2020-01-28T13:35:01Z</dcterms:created>
  <dcterms:modified xsi:type="dcterms:W3CDTF">2021-02-03T07:14:11Z</dcterms:modified>
</cp:coreProperties>
</file>